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Link Budget" sheetId="1" state="visible" r:id="rId2"/>
  </sheets>
  <definedNames>
    <definedName function="false" hidden="false" localSheetId="0" name="_xlnm.Print_Area" vbProcedure="false">'Link Budget'!$A$1:$I$50</definedName>
    <definedName function="false" hidden="false" localSheetId="0" name="_xlnm.Print_Area" vbProcedure="false">'Link Budget'!$A$1:$I$50</definedName>
    <definedName function="false" hidden="false" localSheetId="0" name="_xlnm.Print_Area_0" vbProcedure="false">'Link Budget'!$A$1:$I$50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<sst xmlns="http://schemas.openxmlformats.org/spreadsheetml/2006/main" count="99" uniqueCount="75">
  <si>
    <t xml:space="preserve">Constants</t>
  </si>
  <si>
    <t xml:space="preserve">Standard</t>
  </si>
  <si>
    <t xml:space="preserve">Decibels</t>
  </si>
  <si>
    <t xml:space="preserve">Boltzmann Constant, k</t>
  </si>
  <si>
    <t xml:space="preserve">J/K</t>
  </si>
  <si>
    <t xml:space="preserve">dB</t>
  </si>
  <si>
    <t xml:space="preserve">Speed of Light in Vacuum, c</t>
  </si>
  <si>
    <t xml:space="preserve">m/s</t>
  </si>
  <si>
    <t xml:space="preserve">Earth Radius, RE</t>
  </si>
  <si>
    <t xml:space="preserve">km</t>
  </si>
  <si>
    <t xml:space="preserve">Earth Mu</t>
  </si>
  <si>
    <t xml:space="preserve">km^3/s^2</t>
  </si>
  <si>
    <t xml:space="preserve">Frequency</t>
  </si>
  <si>
    <t xml:space="preserve">Frequency of Signal, f</t>
  </si>
  <si>
    <t xml:space="preserve">MHz</t>
  </si>
  <si>
    <t xml:space="preserve">Wavelength of Signal, λ</t>
  </si>
  <si>
    <t xml:space="preserve">m </t>
  </si>
  <si>
    <t xml:space="preserve">Orbit</t>
  </si>
  <si>
    <t xml:space="preserve">Altitude, h</t>
  </si>
  <si>
    <t xml:space="preserve">← Orbital altitude during pass goes here</t>
  </si>
  <si>
    <t xml:space="preserve">Minimum Elevation Angle, φ</t>
  </si>
  <si>
    <t xml:space="preserve">deg</t>
  </si>
  <si>
    <t xml:space="preserve">← Minimum Elevation Angle Goes Here</t>
  </si>
  <si>
    <t xml:space="preserve">Line of Sight Range, S</t>
  </si>
  <si>
    <t xml:space="preserve">Orbital Period, T</t>
  </si>
  <si>
    <t xml:space="preserve">min</t>
  </si>
  <si>
    <t xml:space="preserve">S/C Velocity in Circular Orbit, v</t>
  </si>
  <si>
    <t xml:space="preserve">km/s</t>
  </si>
  <si>
    <t xml:space="preserve">S/C Velocity Relative to Ground Station, vr</t>
  </si>
  <si>
    <t xml:space="preserve">Maximum Estimated Doppler Shift, df</t>
  </si>
  <si>
    <t xml:space="preserve">kHz</t>
  </si>
  <si>
    <t xml:space="preserve">Transmitter</t>
  </si>
  <si>
    <t xml:space="preserve">Transmitting Antenna Gain, Gt</t>
  </si>
  <si>
    <t xml:space="preserve">← Transmitter antenna gain goes here</t>
  </si>
  <si>
    <t xml:space="preserve">Transmitter Power, P</t>
  </si>
  <si>
    <t xml:space="preserve">dBW</t>
  </si>
  <si>
    <t xml:space="preserve">W</t>
  </si>
  <si>
    <t xml:space="preserve">← Transmitter power goes here</t>
  </si>
  <si>
    <t xml:space="preserve">EIRP, W</t>
  </si>
  <si>
    <t xml:space="preserve">dbW</t>
  </si>
  <si>
    <t xml:space="preserve">Path Losses</t>
  </si>
  <si>
    <t xml:space="preserve">Link Loss (or free-space loss), Ls</t>
  </si>
  <si>
    <t xml:space="preserve">Atmospheric Attenuation, La</t>
  </si>
  <si>
    <t xml:space="preserve">← Atmospheric attenuation goes here</t>
  </si>
  <si>
    <t xml:space="preserve">Receiver</t>
  </si>
  <si>
    <t xml:space="preserve">Gain of Receiving Antenna, Gr</t>
  </si>
  <si>
    <t xml:space="preserve">← Reciever Antenna Gain Goes Here</t>
  </si>
  <si>
    <t xml:space="preserve">Polarization Losses, Lp</t>
  </si>
  <si>
    <t xml:space="preserve">← Anticipated polarization loss goes here</t>
  </si>
  <si>
    <t xml:space="preserve">Receiver System Temperature, Ts</t>
  </si>
  <si>
    <t xml:space="preserve">dBK</t>
  </si>
  <si>
    <t xml:space="preserve">K </t>
  </si>
  <si>
    <t xml:space="preserve">← Receiver system noise temperature goes here</t>
  </si>
  <si>
    <t xml:space="preserve">Receiver Noise Factor/Figure</t>
  </si>
  <si>
    <t xml:space="preserve">← Receiver noise figure goes here</t>
  </si>
  <si>
    <t xml:space="preserve">Gain of LNA</t>
  </si>
  <si>
    <t xml:space="preserve">← Low Noise Amplifier (LNA) gain goes here</t>
  </si>
  <si>
    <t xml:space="preserve">LNA Noise Figure</t>
  </si>
  <si>
    <t xml:space="preserve">← Low Noise Amplifier (LNA) noise figure goes here</t>
  </si>
  <si>
    <t xml:space="preserve">Bandwidth, B</t>
  </si>
  <si>
    <t xml:space="preserve">dBHz</t>
  </si>
  <si>
    <t xml:space="preserve">← Reciever bandwidth goes here</t>
  </si>
  <si>
    <t xml:space="preserve">System Noise, N</t>
  </si>
  <si>
    <t xml:space="preserve">Signal Encoding / Convolution</t>
  </si>
  <si>
    <t xml:space="preserve">Baud Rate, R</t>
  </si>
  <si>
    <t xml:space="preserve">bps</t>
  </si>
  <si>
    <t xml:space="preserve">← Data rate goes here</t>
  </si>
  <si>
    <t xml:space="preserve">Link Quality</t>
  </si>
  <si>
    <t xml:space="preserve">Received Power, Carrier Power, C</t>
  </si>
  <si>
    <t xml:space="preserve">Carrier to Noise, C/N</t>
  </si>
  <si>
    <t xml:space="preserve">Eb/N0</t>
  </si>
  <si>
    <t xml:space="preserve">Minimum Eb/N0</t>
  </si>
  <si>
    <t xml:space="preserve">Margin, M</t>
  </si>
  <si>
    <r>
      <rPr>
        <sz val="10"/>
        <rFont val="FreeSans"/>
        <family val="2"/>
        <charset val="1"/>
      </rPr>
      <t>Spreadsheet modified by Aaron Harper, KD0CXH.  For information please contact </t>
    </r>
    <r>
      <rPr>
        <sz val="10"/>
        <color rgb="FF0000FF"/>
        <rFont val="FreeSans"/>
        <family val="2"/>
        <charset val="1"/>
      </rPr>
      <t>aharper@issyroo.org</t>
    </r>
  </si>
  <si>
    <r>
      <rPr>
        <sz val="10"/>
        <rFont val="FreeSans"/>
        <family val="2"/>
        <charset val="1"/>
      </rPr>
      <t>Original spreadsheet courtesy of Cornell University, Manchester, </t>
    </r>
    <r>
      <rPr>
        <sz val="10"/>
        <color rgb="FF0000FF"/>
        <rFont val="FreeSans"/>
        <family val="2"/>
        <charset val="1"/>
      </rPr>
      <t>ZRM3@Cornell.Edu</t>
    </r>
    <r>
      <rPr>
        <sz val="10"/>
        <rFont val="FreeSans"/>
        <family val="2"/>
        <charset val="1"/>
      </rPr>
      <t>, Atchison, </t>
    </r>
    <r>
      <rPr>
        <sz val="10"/>
        <color rgb="FF0000FF"/>
        <rFont val="FreeSans"/>
        <family val="2"/>
        <charset val="1"/>
      </rPr>
      <t>JAA73@Cornell.Edu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</si>
</sst>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/D/YYYY"/>
    <numFmt numFmtId="166" formatCode="0.000E+00"/>
    <numFmt numFmtId="167" formatCode="0.00"/>
    <numFmt numFmtId="168" formatCode="0.00E+00"/>
    <numFmt numFmtId="169" formatCode="0"/>
    <numFmt numFmtId="170" formatCode="0.000"/>
    <numFmt numFmtId="171" formatCode="0.0"/>
    <numFmt numFmtId="172" formatCode="0.0E+00"/>
    <numFmt numFmtId="173" formatCode="0.00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FreeSans"/>
      <family val="2"/>
      <charset val="1"/>
    </font>
    <font>
      <sz val="10"/>
      <name val="FreeSans"/>
      <family val="2"/>
      <charset val="1"/>
    </font>
    <font>
      <b val="true"/>
      <sz val="10"/>
      <name val="FreeSans"/>
      <family val="2"/>
      <charset val="1"/>
    </font>
    <font>
      <b val="true"/>
      <sz val="9"/>
      <name val="FreeSans"/>
      <family val="2"/>
      <charset val="1"/>
    </font>
    <font>
      <sz val="9"/>
      <name val="FreeSans"/>
      <family val="2"/>
      <charset val="1"/>
    </font>
    <font>
      <sz val="8"/>
      <name val="FreeSans"/>
      <family val="2"/>
      <charset val="1"/>
    </font>
    <font>
      <sz val="10"/>
      <color rgb="FF000000"/>
      <name val="FreeSans"/>
      <family val="2"/>
      <charset val="1"/>
    </font>
    <font>
      <b val="true"/>
      <u val="single"/>
      <sz val="9"/>
      <color rgb="FF000000"/>
      <name val="FreeSans"/>
      <family val="2"/>
      <charset val="1"/>
    </font>
    <font>
      <sz val="10"/>
      <color rgb="FF0000FF"/>
      <name val="FreeSan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color rgb="FFFF0000"/>
      </font>
    </dxf>
    <dxf>
      <font>
        <color rgb="FF9C00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harper@issyroo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7" zoomScaleNormal="97" zoomScalePageLayoutView="100" workbookViewId="0">
      <selection pane="topLeft" activeCell="E50" activeCellId="0" sqref="E50"/>
    </sheetView>
  </sheetViews>
  <sheetFormatPr defaultRowHeight="12.8"/>
  <cols>
    <col collapsed="false" hidden="false" max="1" min="1" style="1" width="3.23979591836735"/>
    <col collapsed="false" hidden="false" max="2" min="2" style="2" width="44.0051020408163"/>
    <col collapsed="false" hidden="false" max="3" min="3" style="3" width="13.7704081632653"/>
    <col collapsed="false" hidden="false" max="4" min="4" style="2" width="10.6632653061225"/>
    <col collapsed="false" hidden="false" max="5" min="5" style="1" width="9.98979591836735"/>
    <col collapsed="false" hidden="false" max="6" min="6" style="1" width="8.23469387755102"/>
    <col collapsed="false" hidden="false" max="7" min="7" style="2" width="46.3010204081633"/>
    <col collapsed="false" hidden="false" max="8" min="8" style="3" width="85.9897959183673"/>
    <col collapsed="false" hidden="false" max="9" min="9" style="1" width="10.9336734693878"/>
    <col collapsed="false" hidden="false" max="10" min="10" style="1" width="12.6887755102041"/>
    <col collapsed="false" hidden="false" max="11" min="11" style="1" width="8.77551020408163"/>
    <col collapsed="false" hidden="false" max="12" min="12" style="3" width="5.66836734693878"/>
    <col collapsed="false" hidden="false" max="13" min="13" style="1" width="45.8979591836735"/>
    <col collapsed="false" hidden="false" max="1025" min="14" style="1" width="8.36734693877551"/>
  </cols>
  <sheetData>
    <row r="1" customFormat="false" ht="15" hidden="false" customHeight="true" outlineLevel="0" collapsed="false">
      <c r="A1" s="0"/>
      <c r="B1" s="4"/>
      <c r="C1" s="5"/>
      <c r="D1" s="6"/>
      <c r="E1" s="6"/>
      <c r="F1" s="6"/>
      <c r="G1" s="7"/>
      <c r="H1" s="5"/>
      <c r="I1" s="8"/>
      <c r="J1" s="8"/>
      <c r="K1" s="8"/>
      <c r="L1" s="5"/>
      <c r="M1" s="9"/>
      <c r="N1" s="10"/>
      <c r="O1" s="10"/>
      <c r="P1" s="1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/>
      <c r="B2" s="11" t="s">
        <v>0</v>
      </c>
      <c r="C2" s="12" t="s">
        <v>1</v>
      </c>
      <c r="D2" s="13"/>
      <c r="E2" s="14" t="s">
        <v>2</v>
      </c>
      <c r="F2" s="15"/>
      <c r="G2" s="7"/>
      <c r="H2" s="5"/>
      <c r="I2" s="8"/>
      <c r="J2" s="6"/>
      <c r="K2" s="6"/>
      <c r="L2" s="6"/>
      <c r="M2" s="8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0"/>
      <c r="B3" s="16" t="s">
        <v>3</v>
      </c>
      <c r="C3" s="17" t="n">
        <v>1.3806503E-023</v>
      </c>
      <c r="D3" s="18" t="s">
        <v>4</v>
      </c>
      <c r="E3" s="19" t="n">
        <f aca="false">10*LOG10(C3)</f>
        <v>-228.599163083963</v>
      </c>
      <c r="F3" s="18" t="s">
        <v>5</v>
      </c>
      <c r="G3" s="20"/>
      <c r="H3" s="5"/>
      <c r="I3" s="8"/>
      <c r="J3" s="5"/>
      <c r="K3" s="5"/>
      <c r="L3" s="5"/>
      <c r="M3" s="21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0"/>
      <c r="B4" s="16" t="s">
        <v>6</v>
      </c>
      <c r="C4" s="22" t="n">
        <v>300000000</v>
      </c>
      <c r="D4" s="18" t="s">
        <v>7</v>
      </c>
      <c r="E4" s="19"/>
      <c r="F4" s="18"/>
      <c r="G4" s="20"/>
      <c r="H4" s="5"/>
      <c r="I4" s="0"/>
      <c r="J4" s="5"/>
      <c r="K4" s="5"/>
      <c r="L4" s="5"/>
      <c r="M4" s="21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0"/>
      <c r="B5" s="16" t="s">
        <v>8</v>
      </c>
      <c r="C5" s="23" t="n">
        <v>6378.14</v>
      </c>
      <c r="D5" s="18" t="s">
        <v>9</v>
      </c>
      <c r="E5" s="19"/>
      <c r="F5" s="18"/>
      <c r="G5" s="20"/>
      <c r="H5" s="5"/>
      <c r="I5" s="0"/>
      <c r="J5" s="5"/>
      <c r="K5" s="5"/>
      <c r="L5" s="5"/>
      <c r="M5" s="21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.8" hidden="false" customHeight="false" outlineLevel="0" collapsed="false">
      <c r="A6" s="0"/>
      <c r="B6" s="24" t="s">
        <v>10</v>
      </c>
      <c r="C6" s="25" t="n">
        <v>398658.366</v>
      </c>
      <c r="D6" s="26" t="s">
        <v>11</v>
      </c>
      <c r="E6" s="27"/>
      <c r="F6" s="26"/>
      <c r="G6" s="20"/>
      <c r="H6" s="5"/>
      <c r="I6" s="0"/>
      <c r="J6" s="5"/>
      <c r="K6" s="5"/>
      <c r="L6" s="5"/>
      <c r="M6" s="21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2.8" hidden="false" customHeight="false" outlineLevel="0" collapsed="false">
      <c r="A7" s="0"/>
      <c r="B7" s="28" t="s">
        <v>12</v>
      </c>
      <c r="C7" s="29"/>
      <c r="D7" s="30"/>
      <c r="E7" s="31"/>
      <c r="F7" s="32"/>
      <c r="G7" s="7"/>
      <c r="H7" s="5"/>
      <c r="I7" s="8"/>
      <c r="J7" s="5"/>
      <c r="K7" s="5"/>
      <c r="L7" s="5"/>
      <c r="M7" s="21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8" hidden="false" customHeight="false" outlineLevel="0" collapsed="false">
      <c r="A8" s="0"/>
      <c r="B8" s="16" t="s">
        <v>13</v>
      </c>
      <c r="C8" s="33" t="n">
        <v>437</v>
      </c>
      <c r="D8" s="18" t="s">
        <v>14</v>
      </c>
      <c r="E8" s="19"/>
      <c r="F8" s="18"/>
      <c r="G8" s="20"/>
      <c r="H8" s="5"/>
      <c r="I8" s="8"/>
      <c r="J8" s="34"/>
      <c r="K8" s="34"/>
      <c r="L8" s="5"/>
      <c r="M8" s="21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8" hidden="false" customHeight="false" outlineLevel="0" collapsed="false">
      <c r="A9" s="0"/>
      <c r="B9" s="16" t="s">
        <v>15</v>
      </c>
      <c r="C9" s="35" t="n">
        <f aca="false">C4/(C8*1000000)</f>
        <v>0.68649885583524</v>
      </c>
      <c r="D9" s="18" t="s">
        <v>16</v>
      </c>
      <c r="E9" s="19"/>
      <c r="F9" s="18"/>
      <c r="G9" s="20"/>
      <c r="H9" s="5"/>
      <c r="I9" s="0"/>
      <c r="J9" s="5"/>
      <c r="K9" s="5"/>
      <c r="L9" s="5"/>
      <c r="M9" s="21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.8" hidden="false" customHeight="false" outlineLevel="0" collapsed="false">
      <c r="A10" s="0"/>
      <c r="B10" s="28" t="s">
        <v>17</v>
      </c>
      <c r="C10" s="29"/>
      <c r="D10" s="30"/>
      <c r="E10" s="31"/>
      <c r="F10" s="32"/>
      <c r="G10" s="20"/>
      <c r="H10" s="5"/>
      <c r="I10" s="8"/>
      <c r="J10" s="5"/>
      <c r="K10" s="5"/>
      <c r="L10" s="5"/>
      <c r="M10" s="21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.8" hidden="false" customHeight="false" outlineLevel="0" collapsed="false">
      <c r="A11" s="0"/>
      <c r="B11" s="16" t="s">
        <v>18</v>
      </c>
      <c r="C11" s="23" t="n">
        <f aca="false">E11</f>
        <v>400</v>
      </c>
      <c r="D11" s="18" t="s">
        <v>9</v>
      </c>
      <c r="E11" s="36" t="n">
        <v>400</v>
      </c>
      <c r="F11" s="18" t="s">
        <v>9</v>
      </c>
      <c r="G11" s="37" t="s">
        <v>19</v>
      </c>
      <c r="H11" s="38"/>
      <c r="I11" s="8"/>
      <c r="J11" s="5"/>
      <c r="K11" s="5"/>
      <c r="L11" s="5"/>
      <c r="M11" s="21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.8" hidden="false" customHeight="false" outlineLevel="0" collapsed="false">
      <c r="A12" s="0"/>
      <c r="B12" s="16" t="s">
        <v>20</v>
      </c>
      <c r="C12" s="23" t="n">
        <f aca="false">E12</f>
        <v>60</v>
      </c>
      <c r="D12" s="18" t="s">
        <v>21</v>
      </c>
      <c r="E12" s="36" t="n">
        <v>60</v>
      </c>
      <c r="F12" s="18" t="s">
        <v>21</v>
      </c>
      <c r="G12" s="20" t="s">
        <v>22</v>
      </c>
      <c r="H12" s="38"/>
      <c r="I12" s="8"/>
      <c r="J12" s="5"/>
      <c r="K12" s="5"/>
      <c r="L12" s="5"/>
      <c r="M12" s="21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2.8" hidden="false" customHeight="false" outlineLevel="0" collapsed="false">
      <c r="A13" s="0"/>
      <c r="B13" s="16" t="s">
        <v>23</v>
      </c>
      <c r="C13" s="39" t="n">
        <f aca="false">C5*(((((C5+C11)^2/C5^2)-(COS(C12/57.2958))^2)^0.5)-SIN(C12/57.2958))</f>
        <v>457.423444711073</v>
      </c>
      <c r="D13" s="18" t="s">
        <v>9</v>
      </c>
      <c r="E13" s="19"/>
      <c r="F13" s="18"/>
      <c r="G13" s="20"/>
      <c r="H13" s="5"/>
      <c r="I13" s="8"/>
      <c r="J13" s="5"/>
      <c r="K13" s="5"/>
      <c r="L13" s="5"/>
      <c r="M13" s="21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8" hidden="false" customHeight="false" outlineLevel="0" collapsed="false">
      <c r="A14" s="0"/>
      <c r="B14" s="16" t="s">
        <v>24</v>
      </c>
      <c r="C14" s="39" t="n">
        <f aca="false">2*PI()*SQRT((C5+C11)^3/C6)/60</f>
        <v>92.5537413094327</v>
      </c>
      <c r="D14" s="18" t="s">
        <v>25</v>
      </c>
      <c r="E14" s="23"/>
      <c r="F14" s="18"/>
      <c r="G14" s="20"/>
      <c r="H14" s="5"/>
      <c r="I14" s="0"/>
      <c r="J14" s="5"/>
      <c r="K14" s="5"/>
      <c r="L14" s="5"/>
      <c r="M14" s="21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0"/>
      <c r="B15" s="16" t="s">
        <v>26</v>
      </c>
      <c r="C15" s="39" t="n">
        <f aca="false">SQRT(C6/(C5+C11))</f>
        <v>7.66911365142654</v>
      </c>
      <c r="D15" s="18" t="s">
        <v>27</v>
      </c>
      <c r="E15" s="19"/>
      <c r="F15" s="18"/>
      <c r="G15" s="20"/>
      <c r="H15" s="5"/>
      <c r="I15" s="8"/>
      <c r="J15" s="5"/>
      <c r="K15" s="5"/>
      <c r="L15" s="5"/>
      <c r="M15" s="21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8" hidden="false" customHeight="false" outlineLevel="0" collapsed="false">
      <c r="A16" s="0"/>
      <c r="B16" s="16" t="s">
        <v>28</v>
      </c>
      <c r="C16" s="39" t="n">
        <f aca="false">C15*COS(C12*PI()/180)</f>
        <v>3.83455682571327</v>
      </c>
      <c r="D16" s="18" t="s">
        <v>27</v>
      </c>
      <c r="E16" s="19"/>
      <c r="F16" s="18"/>
      <c r="G16" s="20"/>
      <c r="H16" s="5"/>
      <c r="I16" s="8"/>
      <c r="J16" s="5"/>
      <c r="K16" s="5"/>
      <c r="L16" s="5"/>
      <c r="M16" s="21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8" hidden="false" customHeight="false" outlineLevel="0" collapsed="false">
      <c r="A17" s="0"/>
      <c r="B17" s="16" t="s">
        <v>29</v>
      </c>
      <c r="C17" s="39" t="n">
        <f aca="false">C16/(C4/1000)*(C8*1000000)/1000</f>
        <v>5.58567110945566</v>
      </c>
      <c r="D17" s="18" t="s">
        <v>30</v>
      </c>
      <c r="E17" s="19"/>
      <c r="F17" s="18"/>
      <c r="G17" s="20"/>
      <c r="H17" s="5"/>
      <c r="I17" s="0"/>
      <c r="J17" s="5"/>
      <c r="K17" s="5"/>
      <c r="L17" s="5"/>
      <c r="M17" s="21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8" hidden="false" customHeight="false" outlineLevel="0" collapsed="false">
      <c r="A18" s="0"/>
      <c r="B18" s="28" t="s">
        <v>31</v>
      </c>
      <c r="C18" s="29"/>
      <c r="D18" s="30"/>
      <c r="E18" s="31"/>
      <c r="F18" s="32"/>
      <c r="G18" s="40"/>
      <c r="H18" s="5"/>
      <c r="I18" s="0"/>
      <c r="J18" s="5"/>
      <c r="K18" s="5"/>
      <c r="L18" s="5"/>
      <c r="M18" s="21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8" hidden="false" customHeight="false" outlineLevel="0" collapsed="false">
      <c r="A19" s="0"/>
      <c r="B19" s="16" t="s">
        <v>32</v>
      </c>
      <c r="C19" s="19" t="n">
        <f aca="false">10^(E19/10)</f>
        <v>3.98107170553497</v>
      </c>
      <c r="D19" s="41"/>
      <c r="E19" s="42" t="n">
        <v>6</v>
      </c>
      <c r="F19" s="18" t="s">
        <v>5</v>
      </c>
      <c r="G19" s="37" t="s">
        <v>33</v>
      </c>
      <c r="H19" s="5"/>
      <c r="I19" s="0"/>
      <c r="J19" s="5"/>
      <c r="K19" s="5"/>
      <c r="L19" s="5"/>
      <c r="M19" s="21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2.8" hidden="false" customHeight="false" outlineLevel="0" collapsed="false">
      <c r="A20" s="0"/>
      <c r="B20" s="16" t="s">
        <v>34</v>
      </c>
      <c r="C20" s="23" t="n">
        <f aca="false">10*LOG10(E20)</f>
        <v>13.9794000867204</v>
      </c>
      <c r="D20" s="18" t="s">
        <v>35</v>
      </c>
      <c r="E20" s="43" t="n">
        <v>25</v>
      </c>
      <c r="F20" s="18" t="s">
        <v>36</v>
      </c>
      <c r="G20" s="37" t="s">
        <v>37</v>
      </c>
      <c r="H20" s="5"/>
      <c r="I20" s="0"/>
      <c r="J20" s="5"/>
      <c r="K20" s="5"/>
      <c r="L20" s="5"/>
      <c r="M20" s="21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0"/>
      <c r="B21" s="16" t="s">
        <v>38</v>
      </c>
      <c r="C21" s="35" t="n">
        <f aca="false">C19*E20</f>
        <v>99.5267926383742</v>
      </c>
      <c r="D21" s="18" t="s">
        <v>36</v>
      </c>
      <c r="E21" s="19" t="n">
        <f aca="false">E19+C20</f>
        <v>19.9794000867204</v>
      </c>
      <c r="F21" s="18" t="s">
        <v>39</v>
      </c>
      <c r="G21" s="7"/>
      <c r="H21" s="5"/>
      <c r="I21" s="0"/>
      <c r="J21" s="5"/>
      <c r="K21" s="5"/>
      <c r="L21" s="5"/>
      <c r="M21" s="21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0"/>
      <c r="B22" s="28" t="s">
        <v>40</v>
      </c>
      <c r="C22" s="29"/>
      <c r="D22" s="30"/>
      <c r="E22" s="31"/>
      <c r="F22" s="32"/>
      <c r="G22" s="20"/>
      <c r="H22" s="5"/>
      <c r="I22" s="0"/>
      <c r="J22" s="5"/>
      <c r="K22" s="5"/>
      <c r="L22" s="5"/>
      <c r="M22" s="21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8" hidden="false" customHeight="false" outlineLevel="0" collapsed="false">
      <c r="A23" s="0"/>
      <c r="B23" s="16" t="s">
        <v>41</v>
      </c>
      <c r="C23" s="44" t="n">
        <f aca="false">C9^2/(16*PI()^2*(C13*1000)^2)</f>
        <v>1.42634001838905E-014</v>
      </c>
      <c r="D23" s="18"/>
      <c r="E23" s="39" t="n">
        <f aca="false">-(22+20*LOG10(C13*1000/C9))</f>
        <v>-138.473572047094</v>
      </c>
      <c r="F23" s="18" t="s">
        <v>5</v>
      </c>
      <c r="G23" s="20"/>
      <c r="H23" s="5"/>
      <c r="I23" s="8"/>
      <c r="J23" s="5"/>
      <c r="K23" s="5"/>
      <c r="L23" s="5"/>
      <c r="M23" s="21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.8" hidden="false" customHeight="false" outlineLevel="0" collapsed="false">
      <c r="A24" s="0"/>
      <c r="B24" s="16" t="s">
        <v>42</v>
      </c>
      <c r="C24" s="35" t="n">
        <f aca="false">10^(E24/10)</f>
        <v>0.630957344480193</v>
      </c>
      <c r="D24" s="18"/>
      <c r="E24" s="45" t="n">
        <v>-2</v>
      </c>
      <c r="F24" s="18" t="s">
        <v>5</v>
      </c>
      <c r="G24" s="37" t="s">
        <v>43</v>
      </c>
      <c r="H24" s="5"/>
      <c r="I24" s="5"/>
      <c r="J24" s="8"/>
      <c r="K24" s="5"/>
      <c r="L24" s="5"/>
      <c r="M24" s="21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46" customFormat="true" ht="12.8" hidden="false" customHeight="false" outlineLevel="0" collapsed="false">
      <c r="B25" s="28" t="s">
        <v>44</v>
      </c>
      <c r="C25" s="29"/>
      <c r="D25" s="30"/>
      <c r="E25" s="31"/>
      <c r="F25" s="32"/>
      <c r="G25" s="47"/>
      <c r="I25" s="8"/>
      <c r="J25" s="8"/>
      <c r="K25" s="34"/>
      <c r="L25" s="5"/>
      <c r="M25" s="21"/>
    </row>
    <row r="26" customFormat="false" ht="12.8" hidden="false" customHeight="false" outlineLevel="0" collapsed="false">
      <c r="A26" s="0"/>
      <c r="B26" s="16" t="s">
        <v>45</v>
      </c>
      <c r="C26" s="19" t="n">
        <f aca="false">10^(E26/10)</f>
        <v>3.98107170553497</v>
      </c>
      <c r="D26" s="41"/>
      <c r="E26" s="45" t="n">
        <v>6</v>
      </c>
      <c r="F26" s="18" t="s">
        <v>5</v>
      </c>
      <c r="G26" s="20" t="s">
        <v>46</v>
      </c>
      <c r="H26" s="5"/>
      <c r="I26" s="34"/>
      <c r="J26" s="8"/>
      <c r="K26" s="5"/>
      <c r="L26" s="5"/>
      <c r="M26" s="21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2.8" hidden="false" customHeight="false" outlineLevel="0" collapsed="false">
      <c r="A27" s="0"/>
      <c r="B27" s="16" t="s">
        <v>47</v>
      </c>
      <c r="C27" s="19" t="n">
        <f aca="false">10^(E27/10)</f>
        <v>0.891250938133746</v>
      </c>
      <c r="D27" s="18"/>
      <c r="E27" s="45" t="n">
        <v>-0.5</v>
      </c>
      <c r="F27" s="18" t="s">
        <v>5</v>
      </c>
      <c r="G27" s="46" t="s">
        <v>48</v>
      </c>
      <c r="H27" s="5"/>
      <c r="I27" s="5"/>
      <c r="J27" s="5"/>
      <c r="K27" s="5"/>
      <c r="L27" s="8"/>
      <c r="M27" s="21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.8" hidden="false" customHeight="false" outlineLevel="0" collapsed="false">
      <c r="A28" s="0"/>
      <c r="B28" s="16" t="s">
        <v>49</v>
      </c>
      <c r="C28" s="39" t="n">
        <f aca="false">10*LOG10(E28)</f>
        <v>27.481880270062</v>
      </c>
      <c r="D28" s="18" t="s">
        <v>50</v>
      </c>
      <c r="E28" s="42" t="n">
        <v>560</v>
      </c>
      <c r="F28" s="18" t="s">
        <v>51</v>
      </c>
      <c r="G28" s="37" t="s">
        <v>52</v>
      </c>
      <c r="H28" s="5"/>
      <c r="I28" s="5"/>
      <c r="J28" s="5"/>
      <c r="K28" s="5"/>
      <c r="L28" s="8"/>
      <c r="M28" s="21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2.8" hidden="false" customHeight="false" outlineLevel="0" collapsed="false">
      <c r="A29" s="0"/>
      <c r="B29" s="48" t="s">
        <v>53</v>
      </c>
      <c r="C29" s="49" t="n">
        <f aca="false">10^(E29/10)</f>
        <v>3.16227766016838</v>
      </c>
      <c r="D29" s="50"/>
      <c r="E29" s="51" t="n">
        <v>5</v>
      </c>
      <c r="F29" s="52" t="s">
        <v>5</v>
      </c>
      <c r="G29" s="53" t="s">
        <v>54</v>
      </c>
      <c r="H29" s="0"/>
      <c r="I29" s="54"/>
      <c r="J29" s="54"/>
      <c r="K29" s="54"/>
      <c r="L29" s="46"/>
      <c r="M29" s="55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46" customFormat="true" ht="12.8" hidden="false" customHeight="false" outlineLevel="0" collapsed="false">
      <c r="B30" s="46" t="s">
        <v>55</v>
      </c>
      <c r="C30" s="19" t="n">
        <f aca="false">10^(E30/10)</f>
        <v>1000</v>
      </c>
      <c r="E30" s="56" t="n">
        <v>30</v>
      </c>
      <c r="F30" s="54" t="s">
        <v>5</v>
      </c>
      <c r="G30" s="46" t="s">
        <v>56</v>
      </c>
    </row>
    <row r="31" customFormat="false" ht="12.8" hidden="false" customHeight="false" outlineLevel="0" collapsed="false">
      <c r="A31" s="46"/>
      <c r="B31" s="46" t="s">
        <v>57</v>
      </c>
      <c r="C31" s="49" t="n">
        <f aca="false">10^(E31/10)</f>
        <v>1.17489755493953</v>
      </c>
      <c r="D31" s="0"/>
      <c r="E31" s="56" t="n">
        <v>0.7</v>
      </c>
      <c r="F31" s="54" t="s">
        <v>5</v>
      </c>
      <c r="G31" s="46" t="s">
        <v>58</v>
      </c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8" hidden="false" customHeight="false" outlineLevel="0" collapsed="false">
      <c r="A32" s="0"/>
      <c r="B32" s="16" t="s">
        <v>59</v>
      </c>
      <c r="C32" s="39" t="n">
        <f aca="false">10*LOG10(E32*1000)</f>
        <v>43.9794000867204</v>
      </c>
      <c r="D32" s="18" t="s">
        <v>60</v>
      </c>
      <c r="E32" s="45" t="n">
        <v>25</v>
      </c>
      <c r="F32" s="18" t="s">
        <v>30</v>
      </c>
      <c r="G32" s="37" t="s">
        <v>61</v>
      </c>
      <c r="H32" s="5"/>
      <c r="I32" s="5"/>
      <c r="J32" s="5"/>
      <c r="K32" s="5"/>
      <c r="L32" s="8"/>
      <c r="M32" s="21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0"/>
      <c r="B33" s="16" t="s">
        <v>62</v>
      </c>
      <c r="C33" s="22" t="n">
        <f aca="false">$C$3*E28*(E32*1000)*(C29+C31)</f>
        <v>8.38337116664782E-016</v>
      </c>
      <c r="D33" s="18" t="s">
        <v>36</v>
      </c>
      <c r="E33" s="19" t="n">
        <f aca="false">$E$3+C32+C28</f>
        <v>-157.13788272718</v>
      </c>
      <c r="F33" s="18" t="s">
        <v>35</v>
      </c>
      <c r="G33" s="7"/>
      <c r="H33" s="5"/>
      <c r="I33" s="5"/>
      <c r="J33" s="5"/>
      <c r="K33" s="5"/>
      <c r="L33" s="8"/>
      <c r="M33" s="21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34" s="0"/>
      <c r="B34" s="28" t="s">
        <v>63</v>
      </c>
      <c r="C34" s="29"/>
      <c r="D34" s="30"/>
      <c r="E34" s="31"/>
      <c r="F34" s="32"/>
      <c r="G34" s="7"/>
      <c r="H34" s="5"/>
      <c r="I34" s="5"/>
      <c r="J34" s="5"/>
      <c r="K34" s="5"/>
      <c r="L34" s="8"/>
      <c r="M34" s="21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2.8" hidden="false" customHeight="false" outlineLevel="0" collapsed="false">
      <c r="A35" s="0"/>
      <c r="B35" s="16" t="s">
        <v>64</v>
      </c>
      <c r="C35" s="19" t="n">
        <f aca="false">E35</f>
        <v>2400</v>
      </c>
      <c r="D35" s="18" t="s">
        <v>65</v>
      </c>
      <c r="E35" s="57" t="n">
        <v>2400</v>
      </c>
      <c r="F35" s="18" t="s">
        <v>65</v>
      </c>
      <c r="G35" s="37" t="s">
        <v>66</v>
      </c>
      <c r="H35" s="5"/>
      <c r="I35" s="34"/>
      <c r="J35" s="8"/>
      <c r="K35" s="5"/>
      <c r="L35" s="5"/>
      <c r="M35" s="21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6" customFormat="true" ht="12.8" hidden="false" customHeight="false" outlineLevel="0" collapsed="false">
      <c r="B36" s="28" t="s">
        <v>67</v>
      </c>
      <c r="C36" s="29"/>
      <c r="D36" s="30"/>
      <c r="E36" s="31"/>
      <c r="F36" s="32"/>
      <c r="G36" s="40"/>
      <c r="I36" s="34"/>
      <c r="J36" s="8"/>
      <c r="K36" s="5"/>
      <c r="L36" s="5"/>
      <c r="M36" s="21"/>
    </row>
    <row r="37" customFormat="false" ht="12.8" hidden="false" customHeight="false" outlineLevel="0" collapsed="false">
      <c r="A37" s="0"/>
      <c r="B37" s="58" t="s">
        <v>68</v>
      </c>
      <c r="C37" s="59" t="n">
        <f aca="false">$E$20*$C$23*C27*$C$24*C26*C19*C30</f>
        <v>3.17806719871735E-009</v>
      </c>
      <c r="D37" s="60" t="s">
        <v>36</v>
      </c>
      <c r="E37" s="61" t="n">
        <f aca="false">$C$20+$E$23+$E$24+E27+E26+E19+E30</f>
        <v>-84.9941719603737</v>
      </c>
      <c r="F37" s="62" t="s">
        <v>35</v>
      </c>
      <c r="G37" s="40"/>
      <c r="H37" s="5"/>
      <c r="I37" s="34"/>
      <c r="J37" s="8"/>
      <c r="K37" s="5"/>
      <c r="L37" s="5"/>
      <c r="M37" s="21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6" customFormat="true" ht="12.8" hidden="false" customHeight="false" outlineLevel="0" collapsed="false">
      <c r="B38" s="58" t="s">
        <v>69</v>
      </c>
      <c r="C38" s="63" t="n">
        <f aca="false">C37/C33</f>
        <v>3790917.92018096</v>
      </c>
      <c r="D38" s="60"/>
      <c r="E38" s="64" t="n">
        <f aca="false">10*LOG10(C38)</f>
        <v>65.7874438131423</v>
      </c>
      <c r="F38" s="62" t="s">
        <v>5</v>
      </c>
      <c r="H38" s="65"/>
      <c r="I38" s="34"/>
      <c r="J38" s="8"/>
      <c r="K38" s="5"/>
      <c r="L38" s="5"/>
      <c r="M38" s="21"/>
    </row>
    <row r="39" customFormat="false" ht="12.8" hidden="false" customHeight="false" outlineLevel="0" collapsed="false">
      <c r="A39" s="0"/>
      <c r="B39" s="58" t="s">
        <v>70</v>
      </c>
      <c r="C39" s="66" t="n">
        <f aca="false">C38*E32*1000/C35</f>
        <v>39488728.3352183</v>
      </c>
      <c r="D39" s="60"/>
      <c r="E39" s="65" t="n">
        <f aca="false">10*LOG10(C39)</f>
        <v>75.9647314827466</v>
      </c>
      <c r="F39" s="60" t="s">
        <v>5</v>
      </c>
      <c r="G39" s="0"/>
      <c r="H39" s="5"/>
      <c r="I39" s="34"/>
      <c r="J39" s="8"/>
      <c r="K39" s="5"/>
      <c r="L39" s="5"/>
      <c r="M39" s="21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6" customFormat="true" ht="12.8" hidden="false" customHeight="false" outlineLevel="0" collapsed="false">
      <c r="B40" s="58" t="s">
        <v>71</v>
      </c>
      <c r="C40" s="66" t="n">
        <f aca="false">10*LOG10(E40)</f>
        <v>10</v>
      </c>
      <c r="D40" s="60"/>
      <c r="E40" s="65" t="n">
        <v>10</v>
      </c>
      <c r="F40" s="60" t="s">
        <v>5</v>
      </c>
      <c r="G40" s="0"/>
      <c r="I40" s="34"/>
      <c r="J40" s="8"/>
      <c r="K40" s="5"/>
      <c r="L40" s="5"/>
      <c r="M40" s="21"/>
    </row>
    <row r="41" s="46" customFormat="true" ht="12.8" hidden="false" customHeight="false" outlineLevel="0" collapsed="false">
      <c r="B41" s="67" t="s">
        <v>72</v>
      </c>
      <c r="C41" s="68" t="n">
        <f aca="false">C39-10^(E41/10)</f>
        <v>35539855.5016965</v>
      </c>
      <c r="D41" s="69"/>
      <c r="E41" s="68" t="n">
        <f aca="false">E39-10</f>
        <v>65.9647314827466</v>
      </c>
      <c r="F41" s="70" t="s">
        <v>5</v>
      </c>
      <c r="G41" s="0"/>
      <c r="H41" s="5"/>
      <c r="I41" s="34"/>
      <c r="J41" s="8"/>
      <c r="K41" s="5"/>
      <c r="L41" s="5"/>
      <c r="M41" s="21"/>
    </row>
    <row r="42" s="46" customFormat="true" ht="12.8" hidden="false" customHeight="false" outlineLevel="0" collapsed="false">
      <c r="B42" s="0"/>
      <c r="C42" s="3"/>
      <c r="D42" s="2"/>
      <c r="E42" s="1"/>
      <c r="F42" s="1"/>
      <c r="G42" s="40"/>
      <c r="H42" s="5"/>
      <c r="I42" s="34"/>
      <c r="J42" s="8"/>
      <c r="K42" s="5"/>
      <c r="L42" s="5"/>
      <c r="M42" s="21"/>
    </row>
    <row r="43" s="46" customFormat="true" ht="13.1" hidden="false" customHeight="false" outlineLevel="0" collapsed="false">
      <c r="B43" s="46" t="s">
        <v>73</v>
      </c>
      <c r="C43" s="3"/>
      <c r="D43" s="2"/>
      <c r="E43" s="1"/>
      <c r="F43" s="1"/>
      <c r="G43" s="71"/>
      <c r="H43" s="0"/>
      <c r="I43" s="34"/>
      <c r="J43" s="8"/>
      <c r="K43" s="5"/>
      <c r="L43" s="5"/>
      <c r="M43" s="21"/>
    </row>
    <row r="44" customFormat="false" ht="12.8" hidden="false" customHeight="false" outlineLevel="0" collapsed="false">
      <c r="A44" s="46"/>
      <c r="B44" s="46"/>
      <c r="G44" s="0"/>
      <c r="H44" s="0"/>
      <c r="I44" s="34"/>
      <c r="J44" s="8"/>
      <c r="K44" s="5"/>
      <c r="L44" s="5"/>
      <c r="M44" s="21"/>
    </row>
    <row r="45" customFormat="false" ht="13.1" hidden="false" customHeight="false" outlineLevel="0" collapsed="false">
      <c r="A45" s="46"/>
      <c r="B45" s="46" t="s">
        <v>74</v>
      </c>
      <c r="G45" s="7"/>
      <c r="H45" s="5"/>
      <c r="I45" s="34"/>
      <c r="J45" s="8"/>
      <c r="K45" s="5"/>
      <c r="L45" s="5"/>
      <c r="M45" s="21"/>
    </row>
  </sheetData>
  <conditionalFormatting sqref="E32">
    <cfRule type="cellIs" priority="2" operator="lessThan" aboveAverage="0" equalAverage="0" bottom="0" percent="0" rank="0" text="" dxfId="0">
      <formula>2*(#ref!)</formula>
    </cfRule>
  </conditionalFormatting>
  <conditionalFormatting sqref="H38">
    <cfRule type="cellIs" priority="3" operator="lessThan" aboveAverage="0" equalAverage="0" bottom="0" percent="0" rank="0" text="" dxfId="1">
      <formula>0</formula>
    </cfRule>
  </conditionalFormatting>
  <hyperlinks>
    <hyperlink ref="B43" r:id="rId1" display="aharper@issyroo.org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LibreOffice/5.1.2.2$Linux_X86_64 LibreOffice_project/10m0$Build-2</Application>
  <Company>Cornell University - Peck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2007-02-13T01:57:35Z</dcterms:created>
  <dc:creator>Justin Atchison</dc:creator>
  <dc:description/>
  <dc:language>en-US</dc:language>
  <cp:lastModifiedBy/>
  <cp:lastPrinted>2010-03-10T20:26:08Z</cp:lastPrinted>
  <dcterms:modified xsi:type="dcterms:W3CDTF">2016-05-10T15:59:35Z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Cornell University - Peck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